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LES SUPPORT\Special Tools-Calculators\Underfill Volume Calculator\drafts for UF calculator\"/>
    </mc:Choice>
  </mc:AlternateContent>
  <bookViews>
    <workbookView xWindow="9180" yWindow="-200" windowWidth="22290" windowHeight="11040" activeTab="1"/>
  </bookViews>
  <sheets>
    <sheet name="English" sheetId="1" r:id="rId1"/>
    <sheet name="Metric" sheetId="2" r:id="rId2"/>
    <sheet name="Dimensions Sketch" sheetId="3" r:id="rId3"/>
  </sheets>
  <definedNames>
    <definedName name="_xlnm.Print_Area" localSheetId="0">English!$A$1:$L$30</definedName>
    <definedName name="_xlnm.Print_Area" localSheetId="1">Metric!$A$1:$L$30</definedName>
  </definedNames>
  <calcPr calcId="171027"/>
</workbook>
</file>

<file path=xl/calcChain.xml><?xml version="1.0" encoding="utf-8"?>
<calcChain xmlns="http://schemas.openxmlformats.org/spreadsheetml/2006/main">
  <c r="B18" i="2" l="1"/>
  <c r="D11" i="2"/>
  <c r="D12" i="2"/>
  <c r="E17" i="2"/>
  <c r="D16" i="2"/>
  <c r="C20" i="2"/>
  <c r="D20" i="2" s="1"/>
  <c r="E11" i="2"/>
  <c r="E12" i="2"/>
  <c r="B24" i="2" s="1"/>
  <c r="D17" i="2"/>
  <c r="E16" i="2"/>
  <c r="D14" i="2"/>
  <c r="C14" i="2" s="1"/>
  <c r="B14" i="2" s="1"/>
  <c r="B23" i="2" s="1"/>
  <c r="C23" i="2" s="1"/>
  <c r="D11" i="1"/>
  <c r="D12" i="1"/>
  <c r="E17" i="1"/>
  <c r="D13" i="1"/>
  <c r="D16" i="1"/>
  <c r="C20" i="1"/>
  <c r="D20" i="1" s="1"/>
  <c r="C21" i="1"/>
  <c r="C14" i="1"/>
  <c r="B14" i="1" s="1"/>
  <c r="E11" i="1"/>
  <c r="E12" i="1"/>
  <c r="D17" i="1"/>
  <c r="E13" i="1"/>
  <c r="E16" i="1"/>
  <c r="B18" i="1"/>
  <c r="B25" i="2" l="1"/>
  <c r="B24" i="1"/>
  <c r="D18" i="1"/>
  <c r="D24" i="1" s="1"/>
  <c r="E24" i="1" s="1"/>
  <c r="B25" i="1"/>
  <c r="C25" i="1" s="1"/>
  <c r="D23" i="2"/>
  <c r="E23" i="2" s="1"/>
  <c r="F23" i="2" s="1"/>
  <c r="E3" i="2" s="1"/>
  <c r="D23" i="1"/>
  <c r="E23" i="1" s="1"/>
  <c r="E18" i="1"/>
  <c r="D25" i="1" s="1"/>
  <c r="E25" i="1" s="1"/>
  <c r="E13" i="2"/>
  <c r="E18" i="2" s="1"/>
  <c r="D25" i="2" s="1"/>
  <c r="E25" i="2" s="1"/>
  <c r="D13" i="2"/>
  <c r="D18" i="2" s="1"/>
  <c r="D24" i="2" s="1"/>
  <c r="E24" i="2" s="1"/>
  <c r="C25" i="2"/>
  <c r="C24" i="2"/>
  <c r="B23" i="1"/>
  <c r="C23" i="1" s="1"/>
  <c r="C24" i="1"/>
  <c r="F24" i="2" l="1"/>
  <c r="E4" i="2" s="1"/>
  <c r="F24" i="1"/>
  <c r="E4" i="1" s="1"/>
  <c r="F25" i="2"/>
  <c r="E5" i="2" s="1"/>
  <c r="F5" i="2" s="1"/>
  <c r="F23" i="1"/>
  <c r="E3" i="1" s="1"/>
  <c r="F25" i="1"/>
  <c r="E5" i="1" s="1"/>
  <c r="F4" i="2"/>
  <c r="F4" i="1"/>
  <c r="D6" i="2" l="1"/>
  <c r="E2" i="2"/>
  <c r="F2" i="2"/>
  <c r="F5" i="1"/>
  <c r="F2" i="1" s="1"/>
  <c r="E2" i="1"/>
  <c r="D6" i="1" l="1"/>
</calcChain>
</file>

<file path=xl/sharedStrings.xml><?xml version="1.0" encoding="utf-8"?>
<sst xmlns="http://schemas.openxmlformats.org/spreadsheetml/2006/main" count="102" uniqueCount="73">
  <si>
    <t>ANSWER</t>
  </si>
  <si>
    <t>Tolerance</t>
  </si>
  <si>
    <t>Median</t>
  </si>
  <si>
    <t>Nominal</t>
  </si>
  <si>
    <t>Maximum</t>
  </si>
  <si>
    <t>Minimum</t>
  </si>
  <si>
    <t>Min</t>
  </si>
  <si>
    <t>Max</t>
  </si>
  <si>
    <t>Instructions</t>
  </si>
  <si>
    <t>Die Thickness</t>
  </si>
  <si>
    <t>I/O</t>
  </si>
  <si>
    <t>&lt;--Pitch</t>
  </si>
  <si>
    <t>Gap</t>
  </si>
  <si>
    <t>Fillet Width</t>
  </si>
  <si>
    <t>Fillet Height</t>
  </si>
  <si>
    <t>Specific Gravity</t>
  </si>
  <si>
    <t>9. Type in Specific gravity of fluid</t>
  </si>
  <si>
    <t>Epoxy Contact Angle</t>
  </si>
  <si>
    <t>Cubic Inches per ml  =</t>
  </si>
  <si>
    <t>1. Type in Die length and tolerance in millimeters</t>
  </si>
  <si>
    <t>2. Type in Die width and tolerance in millimeters, note that length and width tolerance may vary</t>
  </si>
  <si>
    <t>3. Type in Die Thickness and tolerance in millimeters.</t>
  </si>
  <si>
    <t>5. Type in diameter of C4 connection in millimeters</t>
  </si>
  <si>
    <t>6. Type in underfill gap in millimeters</t>
  </si>
  <si>
    <t>7. Type in fillet width and tolerance in millimeters</t>
  </si>
  <si>
    <t>Conversion Factor</t>
  </si>
  <si>
    <t>8. Type in the minimum hieght of the fillet as a percentage of the die thickness (0 to 100%)</t>
  </si>
  <si>
    <t>Copyright Nordson Corporation, 2020</t>
  </si>
  <si>
    <t>Die Size Length</t>
  </si>
  <si>
    <t>Die Size Width</t>
  </si>
  <si>
    <t>Underfill Volume and Tolerance Calculations - English Units</t>
  </si>
  <si>
    <t>Underfill Volume and Tolerance Calculations - Metric Units</t>
  </si>
  <si>
    <t>1. Type in Die length and tolerance in inches</t>
  </si>
  <si>
    <t>2. Type in Die width and tolerance in inches, note that length and width tolerance may vary</t>
  </si>
  <si>
    <t>3. Type in Die Thickness and tolerance in inches.</t>
  </si>
  <si>
    <t>5. Type in diameter of C4 connection in inches</t>
  </si>
  <si>
    <t>6. Type in underfill gap in inches</t>
  </si>
  <si>
    <t>7. Type in fillet width and tolerance in inches</t>
  </si>
  <si>
    <t>8. Type in the minimum height of the fillet as a percentage of the die thickness (0 to 100%)</t>
  </si>
  <si>
    <t>Type over the BLACK numbers in the highlighted cells.</t>
  </si>
  <si>
    <t>Type over the BLACK numbers in the highlighted cells to your left.</t>
  </si>
  <si>
    <t>Die Size Length (inches)</t>
  </si>
  <si>
    <t>Die Size Width (inches)</t>
  </si>
  <si>
    <t>Die Thickness (inches)</t>
  </si>
  <si>
    <t>C4 column (inches)</t>
  </si>
  <si>
    <t>Gap (inches)</t>
  </si>
  <si>
    <t>Fillet Width (inches)</t>
  </si>
  <si>
    <t>Fillet Height (inches)</t>
  </si>
  <si>
    <t>Dispense Mass
Milligrams</t>
  </si>
  <si>
    <t>Allowable
Tolerance</t>
  </si>
  <si>
    <t>Volume
Under Chip
in Cu. Inch</t>
  </si>
  <si>
    <t>Volume
Under Chip
in ml</t>
  </si>
  <si>
    <t>Filet
Volume 
in Cu. Inch</t>
  </si>
  <si>
    <t>Filet
Volume
in ml</t>
  </si>
  <si>
    <t>Total Vol
ml</t>
  </si>
  <si>
    <t>Volume
Under Chip
in Cu. Mm</t>
  </si>
  <si>
    <t>Volume 
Under Chip
in ml</t>
  </si>
  <si>
    <t>Filet
Volume
in Cu. Mm</t>
  </si>
  <si>
    <t>Dispense Mass
milligrams</t>
  </si>
  <si>
    <t>Die Size Length (mm)</t>
  </si>
  <si>
    <t>Die Size Width (mm)</t>
  </si>
  <si>
    <t>Die Thickness (mm)</t>
  </si>
  <si>
    <t>C4 column (mm)</t>
  </si>
  <si>
    <t>Gap (mm)</t>
  </si>
  <si>
    <t>Fillet Width (mm)</t>
  </si>
  <si>
    <t>Fillet Height (mm)</t>
  </si>
  <si>
    <t>10. Type in the epoxy's Contact Angle at Flow Temperature</t>
  </si>
  <si>
    <r>
      <t xml:space="preserve">4. Type in the number of I/O if known  OR  type in pitch, then enter the estimated I/O shown in </t>
    </r>
    <r>
      <rPr>
        <sz val="12"/>
        <color rgb="FF0070C0"/>
        <rFont val="Arial"/>
        <family val="2"/>
      </rPr>
      <t>BLUE.</t>
    </r>
  </si>
  <si>
    <r>
      <t xml:space="preserve">4. Type in the number of I/O if known  OR  type in pitch, then enter the estimated I/O shown in </t>
    </r>
    <r>
      <rPr>
        <sz val="12"/>
        <color rgb="FF0070C0"/>
        <rFont val="Arial MT"/>
      </rPr>
      <t>BLUE.</t>
    </r>
  </si>
  <si>
    <t>I/O Pitch</t>
  </si>
  <si>
    <r>
      <t xml:space="preserve"> </t>
    </r>
    <r>
      <rPr>
        <sz val="12"/>
        <rFont val="Arial MT"/>
      </rPr>
      <t>C4 column</t>
    </r>
  </si>
  <si>
    <t>Row #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</si>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</sst>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%"/>
    <numFmt numFmtId="166" formatCode="0.00000"/>
  </numFmts>
  <fonts count="32">
    <font>
      <sz val="12"/>
      <name val="Arial MT"/>
    </font>
    <font>
      <sz val="12"/>
      <color indexed="8"/>
      <name val="Arial MT"/>
    </font>
    <font>
      <sz val="12"/>
      <color indexed="12"/>
      <name val="Arial MT"/>
    </font>
    <font>
      <b/>
      <i/>
      <sz val="12"/>
      <color indexed="8"/>
      <name val="Arial MT"/>
    </font>
    <font>
      <b/>
      <sz val="14"/>
      <color indexed="8"/>
      <name val="Arial MT"/>
    </font>
    <font>
      <sz val="12"/>
      <color indexed="12"/>
      <name val="Arial"/>
      <family val="2"/>
    </font>
    <font>
      <sz val="12"/>
      <color indexed="14"/>
      <name val="Arial MT"/>
    </font>
    <font>
      <sz val="8"/>
      <name val="Arial MT"/>
    </font>
    <font>
      <sz val="12"/>
      <color indexed="8"/>
      <name val="Arial"/>
      <family val="2"/>
    </font>
    <font>
      <sz val="12"/>
      <name val="Arial"/>
      <family val="2"/>
    </font>
    <font>
      <b/>
      <i/>
      <sz val="12"/>
      <color indexed="8"/>
      <name val="Arial"/>
      <family val="2"/>
    </font>
    <font>
      <b/>
      <i/>
      <sz val="12"/>
      <color indexed="16"/>
      <name val="Arial"/>
      <family val="2"/>
    </font>
    <font>
      <sz val="12"/>
      <color indexed="16"/>
      <name val="Arial"/>
      <family val="2"/>
    </font>
    <font>
      <sz val="12"/>
      <color indexed="14"/>
      <name val="Arial"/>
      <family val="2"/>
    </font>
    <font>
      <sz val="11"/>
      <name val="Arial"/>
      <family val="2"/>
    </font>
    <font>
      <sz val="12"/>
      <color theme="3"/>
      <name val="Arial"/>
      <family val="2"/>
    </font>
    <font>
      <sz val="12"/>
      <color rgb="FF005193"/>
      <name val="Arial"/>
      <family val="2"/>
    </font>
    <font>
      <b/>
      <sz val="12"/>
      <color rgb="FF005193"/>
      <name val="Arial"/>
      <family val="2"/>
    </font>
    <font>
      <b/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Arial"/>
      <family val="2"/>
    </font>
    <font>
      <b/>
      <sz val="18"/>
      <color rgb="FF005193"/>
      <name val="Arial MT"/>
    </font>
    <font>
      <i/>
      <sz val="12"/>
      <color theme="1"/>
      <name val="Arial"/>
      <family val="2"/>
    </font>
    <font>
      <b/>
      <sz val="12"/>
      <color rgb="FF0070C0"/>
      <name val="Arial"/>
      <family val="2"/>
    </font>
    <font>
      <sz val="12"/>
      <color rgb="FF005193"/>
      <name val="Arial MT"/>
    </font>
    <font>
      <b/>
      <sz val="14"/>
      <name val="Arial MT"/>
    </font>
    <font>
      <b/>
      <i/>
      <sz val="12"/>
      <color rgb="FFC00000"/>
      <name val="Arial MT"/>
    </font>
    <font>
      <sz val="12"/>
      <color rgb="FF0070C0"/>
      <name val="Arial"/>
      <family val="2"/>
    </font>
    <font>
      <sz val="12"/>
      <color rgb="FF0070C0"/>
      <name val="Arial MT"/>
    </font>
    <font>
      <sz val="12"/>
      <color rgb="FFFF0000"/>
      <name val="Arial MT"/>
    </font>
    <font>
      <u/>
      <sz val="12"/>
      <name val="Arial MT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9" fillId="5" borderId="0" applyNumberFormat="0" applyBorder="0" applyAlignment="0" applyProtection="0"/>
    <xf numFmtId="0" fontId="20" fillId="6" borderId="1" applyNumberFormat="0" applyAlignment="0" applyProtection="0"/>
  </cellStyleXfs>
  <cellXfs count="102">
    <xf numFmtId="0" fontId="0" fillId="0" borderId="0" xfId="0" applyFont="1" applyAlignment="1"/>
    <xf numFmtId="0" fontId="8" fillId="2" borderId="0" xfId="0" applyFont="1" applyFill="1" applyAlignment="1" applyProtection="1"/>
    <xf numFmtId="0" fontId="9" fillId="4" borderId="0" xfId="0" applyFont="1" applyFill="1" applyAlignment="1" applyProtection="1"/>
    <xf numFmtId="0" fontId="9" fillId="0" borderId="0" xfId="0" applyFont="1" applyAlignment="1" applyProtection="1"/>
    <xf numFmtId="0" fontId="5" fillId="2" borderId="0" xfId="0" applyFont="1" applyFill="1" applyAlignment="1" applyProtection="1"/>
    <xf numFmtId="0" fontId="10" fillId="2" borderId="0" xfId="0" applyFont="1" applyFill="1" applyAlignment="1" applyProtection="1"/>
    <xf numFmtId="0" fontId="4" fillId="2" borderId="0" xfId="0" applyFont="1" applyFill="1" applyAlignment="1" applyProtection="1"/>
    <xf numFmtId="0" fontId="14" fillId="4" borderId="0" xfId="0" applyFont="1" applyFill="1" applyAlignment="1" applyProtection="1"/>
    <xf numFmtId="0" fontId="1" fillId="2" borderId="0" xfId="0" applyFont="1" applyFill="1" applyAlignment="1" applyProtection="1"/>
    <xf numFmtId="0" fontId="0" fillId="4" borderId="0" xfId="0" applyFont="1" applyFill="1" applyAlignment="1" applyProtection="1"/>
    <xf numFmtId="0" fontId="0" fillId="0" borderId="0" xfId="0" applyFont="1" applyAlignment="1" applyProtection="1"/>
    <xf numFmtId="0" fontId="2" fillId="2" borderId="0" xfId="0" applyFont="1" applyFill="1" applyAlignment="1" applyProtection="1"/>
    <xf numFmtId="0" fontId="0" fillId="2" borderId="0" xfId="0" applyFill="1" applyAlignment="1" applyProtection="1"/>
    <xf numFmtId="0" fontId="3" fillId="2" borderId="0" xfId="0" applyFont="1" applyFill="1" applyAlignment="1" applyProtection="1"/>
    <xf numFmtId="0" fontId="1" fillId="2" borderId="0" xfId="0" applyNumberFormat="1" applyFont="1" applyFill="1" applyAlignment="1" applyProtection="1"/>
    <xf numFmtId="0" fontId="2" fillId="4" borderId="0" xfId="0" applyFont="1" applyFill="1" applyAlignment="1" applyProtection="1"/>
    <xf numFmtId="0" fontId="12" fillId="2" borderId="0" xfId="0" applyFont="1" applyFill="1" applyAlignment="1" applyProtection="1"/>
    <xf numFmtId="0" fontId="15" fillId="2" borderId="0" xfId="0" applyFont="1" applyFill="1" applyAlignment="1" applyProtection="1"/>
    <xf numFmtId="0" fontId="16" fillId="2" borderId="0" xfId="0" applyFont="1" applyFill="1" applyAlignment="1" applyProtection="1"/>
    <xf numFmtId="0" fontId="15" fillId="3" borderId="0" xfId="0" applyFont="1" applyFill="1" applyAlignment="1" applyProtection="1"/>
    <xf numFmtId="0" fontId="9" fillId="0" borderId="0" xfId="0" applyFont="1" applyBorder="1" applyAlignment="1" applyProtection="1"/>
    <xf numFmtId="0" fontId="21" fillId="2" borderId="0" xfId="0" applyFont="1" applyFill="1" applyAlignment="1" applyProtection="1"/>
    <xf numFmtId="0" fontId="22" fillId="2" borderId="0" xfId="0" applyFont="1" applyFill="1" applyAlignment="1" applyProtection="1"/>
    <xf numFmtId="0" fontId="23" fillId="2" borderId="0" xfId="0" applyFont="1" applyFill="1" applyAlignment="1" applyProtection="1"/>
    <xf numFmtId="0" fontId="9" fillId="6" borderId="1" xfId="2" applyFont="1" applyAlignment="1" applyProtection="1">
      <protection locked="0"/>
    </xf>
    <xf numFmtId="9" fontId="9" fillId="6" borderId="1" xfId="2" applyNumberFormat="1" applyFont="1" applyAlignment="1" applyProtection="1">
      <protection locked="0"/>
    </xf>
    <xf numFmtId="0" fontId="5" fillId="2" borderId="2" xfId="0" applyFont="1" applyFill="1" applyBorder="1" applyAlignment="1" applyProtection="1"/>
    <xf numFmtId="0" fontId="15" fillId="2" borderId="4" xfId="0" applyFont="1" applyFill="1" applyBorder="1" applyAlignment="1" applyProtection="1"/>
    <xf numFmtId="166" fontId="15" fillId="2" borderId="0" xfId="0" applyNumberFormat="1" applyFont="1" applyFill="1" applyBorder="1" applyAlignment="1" applyProtection="1"/>
    <xf numFmtId="166" fontId="15" fillId="2" borderId="5" xfId="0" applyNumberFormat="1" applyFont="1" applyFill="1" applyBorder="1" applyAlignment="1" applyProtection="1"/>
    <xf numFmtId="0" fontId="15" fillId="2" borderId="6" xfId="0" applyFont="1" applyFill="1" applyBorder="1" applyAlignment="1" applyProtection="1"/>
    <xf numFmtId="166" fontId="15" fillId="2" borderId="9" xfId="0" applyNumberFormat="1" applyFont="1" applyFill="1" applyBorder="1" applyAlignment="1" applyProtection="1"/>
    <xf numFmtId="166" fontId="15" fillId="2" borderId="7" xfId="0" applyNumberFormat="1" applyFont="1" applyFill="1" applyBorder="1" applyAlignment="1" applyProtection="1"/>
    <xf numFmtId="2" fontId="24" fillId="0" borderId="0" xfId="1" applyNumberFormat="1" applyFont="1" applyFill="1" applyBorder="1" applyAlignment="1" applyProtection="1">
      <alignment horizontal="right"/>
    </xf>
    <xf numFmtId="2" fontId="18" fillId="0" borderId="0" xfId="1" applyNumberFormat="1" applyFont="1" applyFill="1" applyBorder="1" applyAlignment="1" applyProtection="1"/>
    <xf numFmtId="0" fontId="24" fillId="0" borderId="4" xfId="1" applyFont="1" applyFill="1" applyBorder="1" applyAlignment="1" applyProtection="1"/>
    <xf numFmtId="165" fontId="24" fillId="0" borderId="5" xfId="1" applyNumberFormat="1" applyFont="1" applyFill="1" applyBorder="1" applyAlignment="1" applyProtection="1">
      <alignment horizontal="right"/>
    </xf>
    <xf numFmtId="0" fontId="17" fillId="0" borderId="4" xfId="1" applyFont="1" applyFill="1" applyBorder="1" applyAlignment="1" applyProtection="1"/>
    <xf numFmtId="0" fontId="18" fillId="0" borderId="5" xfId="1" applyFont="1" applyFill="1" applyBorder="1" applyAlignment="1" applyProtection="1"/>
    <xf numFmtId="165" fontId="18" fillId="0" borderId="5" xfId="1" applyNumberFormat="1" applyFont="1" applyFill="1" applyBorder="1" applyAlignment="1" applyProtection="1"/>
    <xf numFmtId="0" fontId="11" fillId="2" borderId="6" xfId="0" applyFont="1" applyFill="1" applyBorder="1" applyAlignment="1" applyProtection="1"/>
    <xf numFmtId="0" fontId="8" fillId="2" borderId="9" xfId="0" applyFont="1" applyFill="1" applyBorder="1" applyAlignment="1" applyProtection="1"/>
    <xf numFmtId="0" fontId="8" fillId="2" borderId="7" xfId="0" applyFont="1" applyFill="1" applyBorder="1" applyAlignment="1" applyProtection="1"/>
    <xf numFmtId="0" fontId="17" fillId="7" borderId="2" xfId="1" applyFont="1" applyFill="1" applyBorder="1" applyAlignment="1" applyProtection="1">
      <alignment horizontal="center" vertical="center"/>
    </xf>
    <xf numFmtId="0" fontId="17" fillId="7" borderId="8" xfId="1" applyFont="1" applyFill="1" applyBorder="1" applyAlignment="1" applyProtection="1">
      <alignment horizontal="center" wrapText="1"/>
    </xf>
    <xf numFmtId="0" fontId="17" fillId="7" borderId="3" xfId="1" applyFont="1" applyFill="1" applyBorder="1" applyAlignment="1" applyProtection="1">
      <alignment horizontal="center" wrapText="1"/>
    </xf>
    <xf numFmtId="0" fontId="13" fillId="2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9" fillId="0" borderId="0" xfId="0" applyFont="1" applyFill="1" applyAlignment="1" applyProtection="1"/>
    <xf numFmtId="0" fontId="13" fillId="0" borderId="0" xfId="0" applyFont="1" applyFill="1" applyBorder="1" applyAlignment="1" applyProtection="1">
      <protection locked="0"/>
    </xf>
    <xf numFmtId="0" fontId="8" fillId="0" borderId="0" xfId="0" applyFont="1" applyFill="1" applyAlignment="1" applyProtection="1"/>
    <xf numFmtId="0" fontId="16" fillId="2" borderId="8" xfId="0" applyFont="1" applyFill="1" applyBorder="1" applyAlignment="1" applyProtection="1">
      <alignment horizontal="center" wrapText="1"/>
    </xf>
    <xf numFmtId="0" fontId="16" fillId="2" borderId="3" xfId="0" applyFont="1" applyFill="1" applyBorder="1" applyAlignment="1" applyProtection="1">
      <alignment horizontal="center" wrapText="1"/>
    </xf>
    <xf numFmtId="0" fontId="25" fillId="2" borderId="0" xfId="0" applyFont="1" applyFill="1" applyAlignment="1" applyProtection="1"/>
    <xf numFmtId="0" fontId="25" fillId="0" borderId="0" xfId="0" applyFont="1" applyAlignment="1" applyProtection="1"/>
    <xf numFmtId="0" fontId="25" fillId="2" borderId="0" xfId="0" applyNumberFormat="1" applyFont="1" applyFill="1" applyAlignment="1" applyProtection="1"/>
    <xf numFmtId="164" fontId="25" fillId="2" borderId="0" xfId="0" applyNumberFormat="1" applyFont="1" applyFill="1" applyAlignment="1" applyProtection="1"/>
    <xf numFmtId="1" fontId="16" fillId="2" borderId="0" xfId="0" applyNumberFormat="1" applyFont="1" applyFill="1" applyAlignment="1" applyProtection="1"/>
    <xf numFmtId="164" fontId="16" fillId="2" borderId="0" xfId="0" applyNumberFormat="1" applyFont="1" applyFill="1" applyAlignment="1" applyProtection="1"/>
    <xf numFmtId="0" fontId="16" fillId="2" borderId="0" xfId="0" applyNumberFormat="1" applyFont="1" applyFill="1" applyAlignment="1" applyProtection="1"/>
    <xf numFmtId="1" fontId="16" fillId="3" borderId="0" xfId="0" applyNumberFormat="1" applyFont="1" applyFill="1" applyAlignment="1" applyProtection="1"/>
    <xf numFmtId="2" fontId="16" fillId="3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0" fillId="0" borderId="0" xfId="0" applyFont="1" applyFill="1" applyAlignment="1" applyProtection="1"/>
    <xf numFmtId="0" fontId="6" fillId="0" borderId="0" xfId="0" applyFont="1" applyFill="1" applyAlignment="1" applyProtection="1"/>
    <xf numFmtId="0" fontId="6" fillId="0" borderId="0" xfId="0" applyFont="1" applyFill="1" applyAlignment="1" applyProtection="1">
      <protection locked="0"/>
    </xf>
    <xf numFmtId="0" fontId="1" fillId="0" borderId="0" xfId="0" applyFont="1" applyFill="1" applyAlignment="1" applyProtection="1"/>
    <xf numFmtId="164" fontId="9" fillId="6" borderId="1" xfId="2" applyNumberFormat="1" applyFont="1" applyAlignment="1" applyProtection="1">
      <protection locked="0"/>
    </xf>
    <xf numFmtId="0" fontId="9" fillId="6" borderId="1" xfId="2" applyNumberFormat="1" applyFont="1" applyAlignment="1" applyProtection="1">
      <protection locked="0"/>
    </xf>
    <xf numFmtId="1" fontId="9" fillId="6" borderId="1" xfId="2" applyNumberFormat="1" applyFont="1" applyAlignment="1" applyProtection="1">
      <protection locked="0"/>
    </xf>
    <xf numFmtId="0" fontId="25" fillId="2" borderId="2" xfId="0" applyFont="1" applyFill="1" applyBorder="1" applyAlignment="1" applyProtection="1"/>
    <xf numFmtId="0" fontId="25" fillId="2" borderId="8" xfId="0" applyFont="1" applyFill="1" applyBorder="1" applyAlignment="1" applyProtection="1">
      <alignment horizontal="center" vertical="center" wrapText="1"/>
    </xf>
    <xf numFmtId="0" fontId="25" fillId="2" borderId="3" xfId="0" applyFont="1" applyFill="1" applyBorder="1" applyAlignment="1" applyProtection="1">
      <alignment horizontal="center" vertical="center" wrapText="1"/>
    </xf>
    <xf numFmtId="0" fontId="25" fillId="2" borderId="4" xfId="0" applyFont="1" applyFill="1" applyBorder="1" applyAlignment="1" applyProtection="1"/>
    <xf numFmtId="2" fontId="25" fillId="2" borderId="0" xfId="0" applyNumberFormat="1" applyFont="1" applyFill="1" applyBorder="1" applyAlignment="1" applyProtection="1"/>
    <xf numFmtId="166" fontId="25" fillId="2" borderId="0" xfId="0" applyNumberFormat="1" applyFont="1" applyFill="1" applyBorder="1" applyAlignment="1" applyProtection="1"/>
    <xf numFmtId="166" fontId="25" fillId="2" borderId="5" xfId="0" applyNumberFormat="1" applyFont="1" applyFill="1" applyBorder="1" applyAlignment="1" applyProtection="1"/>
    <xf numFmtId="0" fontId="25" fillId="2" borderId="6" xfId="0" applyFont="1" applyFill="1" applyBorder="1" applyAlignment="1" applyProtection="1"/>
    <xf numFmtId="2" fontId="25" fillId="2" borderId="9" xfId="0" applyNumberFormat="1" applyFont="1" applyFill="1" applyBorder="1" applyAlignment="1" applyProtection="1"/>
    <xf numFmtId="166" fontId="25" fillId="2" borderId="9" xfId="0" applyNumberFormat="1" applyFont="1" applyFill="1" applyBorder="1" applyAlignment="1" applyProtection="1"/>
    <xf numFmtId="166" fontId="25" fillId="2" borderId="7" xfId="0" applyNumberFormat="1" applyFont="1" applyFill="1" applyBorder="1" applyAlignment="1" applyProtection="1"/>
    <xf numFmtId="2" fontId="17" fillId="0" borderId="0" xfId="1" applyNumberFormat="1" applyFont="1" applyFill="1" applyBorder="1" applyAlignment="1" applyProtection="1">
      <alignment horizontal="right"/>
    </xf>
    <xf numFmtId="0" fontId="17" fillId="7" borderId="8" xfId="1" applyFont="1" applyFill="1" applyBorder="1" applyAlignment="1" applyProtection="1">
      <alignment horizontal="center" vertical="center" wrapText="1"/>
    </xf>
    <xf numFmtId="0" fontId="17" fillId="7" borderId="3" xfId="1" applyFont="1" applyFill="1" applyBorder="1" applyAlignment="1" applyProtection="1">
      <alignment horizontal="center" vertical="center" wrapText="1"/>
    </xf>
    <xf numFmtId="165" fontId="17" fillId="0" borderId="5" xfId="1" applyNumberFormat="1" applyFont="1" applyFill="1" applyBorder="1" applyAlignment="1" applyProtection="1">
      <alignment horizontal="right"/>
    </xf>
    <xf numFmtId="0" fontId="18" fillId="0" borderId="4" xfId="1" applyFont="1" applyFill="1" applyBorder="1" applyAlignment="1" applyProtection="1"/>
    <xf numFmtId="0" fontId="1" fillId="2" borderId="9" xfId="0" applyFont="1" applyFill="1" applyBorder="1" applyAlignment="1" applyProtection="1"/>
    <xf numFmtId="0" fontId="1" fillId="2" borderId="7" xfId="0" applyFont="1" applyFill="1" applyBorder="1" applyAlignment="1" applyProtection="1"/>
    <xf numFmtId="0" fontId="0" fillId="2" borderId="0" xfId="0" applyFont="1" applyFill="1" applyAlignment="1" applyProtection="1"/>
    <xf numFmtId="0" fontId="26" fillId="2" borderId="0" xfId="0" applyFont="1" applyFill="1" applyAlignment="1" applyProtection="1"/>
    <xf numFmtId="0" fontId="27" fillId="2" borderId="6" xfId="0" applyFont="1" applyFill="1" applyBorder="1" applyAlignment="1" applyProtection="1"/>
    <xf numFmtId="0" fontId="8" fillId="2" borderId="0" xfId="0" applyFont="1" applyFill="1" applyAlignment="1" applyProtection="1">
      <alignment vertical="center"/>
    </xf>
    <xf numFmtId="164" fontId="24" fillId="6" borderId="1" xfId="2" applyNumberFormat="1" applyFont="1" applyAlignment="1" applyProtection="1">
      <protection locked="0"/>
    </xf>
    <xf numFmtId="0" fontId="24" fillId="6" borderId="1" xfId="2" applyFont="1" applyAlignment="1" applyProtection="1">
      <protection locked="0"/>
    </xf>
    <xf numFmtId="0" fontId="30" fillId="0" borderId="0" xfId="0" applyFont="1" applyAlignment="1"/>
    <xf numFmtId="0" fontId="0" fillId="0" borderId="0" xfId="0" applyFont="1" applyAlignment="1">
      <alignment horizontal="center"/>
    </xf>
    <xf numFmtId="0" fontId="11" fillId="2" borderId="0" xfId="0" applyFont="1" applyFill="1" applyBorder="1" applyAlignment="1" applyProtection="1"/>
    <xf numFmtId="0" fontId="8" fillId="2" borderId="0" xfId="0" applyFont="1" applyFill="1" applyBorder="1" applyAlignment="1" applyProtection="1"/>
    <xf numFmtId="0" fontId="27" fillId="2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31" fillId="0" borderId="0" xfId="0" applyFont="1" applyAlignment="1"/>
    <xf numFmtId="0" fontId="17" fillId="2" borderId="0" xfId="0" applyFont="1" applyFill="1" applyAlignment="1" applyProtection="1">
      <alignment vertical="center"/>
    </xf>
  </cellXfs>
  <cellStyles count="3">
    <cellStyle name="Input" xfId="2" builtinId="20"/>
    <cellStyle name="Neutral" xfId="1" builtinId="28"/>
    <cellStyle name="Normal" xfId="0" builtinId="0"/>
  </cellStyles>
  <dxfs count="0"/>
  <tableStyles count="0" defaultTableStyle="TableStyleMedium9" defaultPivotStyle="PivotStyleLight16"/>
  <colors>
    <mruColors>
      <color rgb="FF005193"/>
      <color rgb="FF007AC9"/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738714</xdr:colOff>
      <xdr:row>25</xdr:row>
      <xdr:rowOff>182033</xdr:rowOff>
    </xdr:from>
    <xdr:to>
      <xdr:col>11</xdr:col>
      <xdr:colOff>967315</xdr:colOff>
      <xdr:row>28</xdr:row>
      <xdr:rowOff>16025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BDA54B-F2E7-4BC5-A581-BE62D1124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1881" y="5918200"/>
          <a:ext cx="1361017" cy="437243"/>
        </a:xfrm>
        <a:prstGeom prst="rect">
          <a:avLst/>
        </a:prstGeom>
      </xdr:spPr>
    </xdr:pic>
    <xdr:clientData/>
  </xdr:twoCellAnchor>
  <xdr:twoCellAnchor>
    <xdr:from>
      <xdr:col>0</xdr:col>
      <xdr:colOff>31749</xdr:colOff>
      <xdr:row>28</xdr:row>
      <xdr:rowOff>190500</xdr:rowOff>
    </xdr:from>
    <xdr:to>
      <xdr:col>12</xdr:col>
      <xdr:colOff>1269</xdr:colOff>
      <xdr:row>30</xdr:row>
      <xdr:rowOff>4234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33DE15C-3448-4FF5-B468-1794001ACF27}"/>
            </a:ext>
          </a:extLst>
        </xdr:cNvPr>
        <xdr:cNvSpPr/>
      </xdr:nvSpPr>
      <xdr:spPr>
        <a:xfrm>
          <a:off x="31749" y="6529917"/>
          <a:ext cx="14447520" cy="215900"/>
        </a:xfrm>
        <a:prstGeom prst="rect">
          <a:avLst/>
        </a:prstGeom>
        <a:solidFill>
          <a:srgbClr val="007AC9"/>
        </a:solidFill>
        <a:ln>
          <a:solidFill>
            <a:srgbClr val="007AC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435430</xdr:colOff>
      <xdr:row>26</xdr:row>
      <xdr:rowOff>0</xdr:rowOff>
    </xdr:from>
    <xdr:to>
      <xdr:col>11</xdr:col>
      <xdr:colOff>673102</xdr:colOff>
      <xdr:row>28</xdr:row>
      <xdr:rowOff>25402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0C35F7-A7CA-4EFD-9C46-2E4BBC69F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2347" y="6005287"/>
          <a:ext cx="1370088" cy="427568"/>
        </a:xfrm>
        <a:prstGeom prst="rect">
          <a:avLst/>
        </a:prstGeom>
      </xdr:spPr>
    </xdr:pic>
    <xdr:clientData/>
  </xdr:twoCellAnchor>
  <xdr:twoCellAnchor>
    <xdr:from>
      <xdr:col>0</xdr:col>
      <xdr:colOff>10585</xdr:colOff>
      <xdr:row>28</xdr:row>
      <xdr:rowOff>179913</xdr:rowOff>
    </xdr:from>
    <xdr:to>
      <xdr:col>12</xdr:col>
      <xdr:colOff>2</xdr:colOff>
      <xdr:row>29</xdr:row>
      <xdr:rowOff>194730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1C004EB-66AA-49E6-B306-FFF82A1BE31D}"/>
            </a:ext>
          </a:extLst>
        </xdr:cNvPr>
        <xdr:cNvSpPr/>
      </xdr:nvSpPr>
      <xdr:spPr>
        <a:xfrm>
          <a:off x="10585" y="6720413"/>
          <a:ext cx="14403917" cy="215900"/>
        </a:xfrm>
        <a:prstGeom prst="rect">
          <a:avLst/>
        </a:prstGeom>
        <a:solidFill>
          <a:srgbClr val="007AC9"/>
        </a:solidFill>
        <a:ln>
          <a:solidFill>
            <a:srgbClr val="007AC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266286</xdr:colOff>
      <xdr:row>21</xdr:row>
      <xdr:rowOff>66190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3314286" cy="3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9"/>
  <sheetViews>
    <sheetView showGridLines="0" showOutlineSymbols="0" zoomScale="69" zoomScaleNormal="69" zoomScalePageLayoutView="30" workbookViewId="0">
      <selection activeCell="A4" sqref="A4"/>
    </sheetView>
  </sheetViews>
  <sheetFormatPr defaultColWidth="13.765625" defaultRowHeight="15.5"/>
  <cols>
    <col min="1" max="1" width="34.69140625" style="3" customWidth="1"/>
    <col min="2" max="6" width="11.69140625" style="3" customWidth="1"/>
    <col min="7" max="16384" width="13.765625" style="3"/>
  </cols>
  <sheetData>
    <row r="1" spans="1:14" ht="46.5">
      <c r="A1" s="101" t="s">
        <v>30</v>
      </c>
      <c r="B1" s="1"/>
      <c r="C1" s="1"/>
      <c r="D1" s="43" t="s">
        <v>0</v>
      </c>
      <c r="E1" s="44" t="s">
        <v>48</v>
      </c>
      <c r="F1" s="45" t="s">
        <v>49</v>
      </c>
      <c r="G1" s="20"/>
      <c r="H1" s="20"/>
      <c r="I1" s="1"/>
      <c r="J1" s="2"/>
      <c r="K1" s="2"/>
      <c r="L1" s="2"/>
      <c r="M1" s="2"/>
      <c r="N1" s="2"/>
    </row>
    <row r="2" spans="1:14">
      <c r="A2" s="4"/>
      <c r="B2" s="1"/>
      <c r="C2" s="1"/>
      <c r="D2" s="35" t="s">
        <v>2</v>
      </c>
      <c r="E2" s="33">
        <f>AVERAGE(E4:E5)</f>
        <v>31.982063678532182</v>
      </c>
      <c r="F2" s="36">
        <f>(ABS(F4)+ABS(F5))/2</f>
        <v>0.14131378997764482</v>
      </c>
      <c r="G2" s="20"/>
      <c r="H2" s="20"/>
      <c r="I2" s="5"/>
      <c r="J2" s="2"/>
      <c r="K2" s="2"/>
      <c r="L2" s="2"/>
      <c r="M2" s="2"/>
      <c r="N2" s="2"/>
    </row>
    <row r="3" spans="1:14">
      <c r="A3" s="4"/>
      <c r="B3" s="1"/>
      <c r="C3" s="1"/>
      <c r="D3" s="37" t="s">
        <v>3</v>
      </c>
      <c r="E3" s="34">
        <f>F23*$B$19*1000</f>
        <v>31.982688281095953</v>
      </c>
      <c r="F3" s="38"/>
      <c r="G3" s="20"/>
      <c r="H3" s="20"/>
      <c r="I3" s="1"/>
      <c r="J3" s="2"/>
      <c r="K3" s="2"/>
      <c r="L3" s="2"/>
      <c r="M3" s="2"/>
      <c r="N3" s="2"/>
    </row>
    <row r="4" spans="1:14">
      <c r="B4" s="1"/>
      <c r="C4" s="1"/>
      <c r="D4" s="37" t="s">
        <v>4</v>
      </c>
      <c r="E4" s="34">
        <f>F24*$B$19*1000</f>
        <v>36.501658573207457</v>
      </c>
      <c r="F4" s="39">
        <f>(+E4-E3)/E3</f>
        <v>0.14129426058229563</v>
      </c>
      <c r="G4" s="20"/>
      <c r="H4" s="20"/>
      <c r="I4" s="1"/>
      <c r="J4" s="2"/>
      <c r="K4" s="2"/>
      <c r="L4" s="2"/>
      <c r="M4" s="2"/>
      <c r="N4" s="2"/>
    </row>
    <row r="5" spans="1:14">
      <c r="A5" s="4"/>
      <c r="B5" s="1"/>
      <c r="C5" s="1"/>
      <c r="D5" s="37" t="s">
        <v>5</v>
      </c>
      <c r="E5" s="34">
        <f>F25*$B$19*1000</f>
        <v>27.462468783856906</v>
      </c>
      <c r="F5" s="39">
        <f>(+E5-E3)/E3</f>
        <v>-0.14133331937299401</v>
      </c>
      <c r="G5" s="20"/>
      <c r="H5" s="20"/>
      <c r="I5" s="1"/>
      <c r="J5" s="2"/>
      <c r="K5" s="2"/>
      <c r="L5" s="2"/>
      <c r="M5" s="2"/>
      <c r="N5" s="2"/>
    </row>
    <row r="6" spans="1:14">
      <c r="A6" s="4"/>
      <c r="B6" s="1"/>
      <c r="D6" s="40" t="str">
        <f>IF(+E4-E5&lt;=0,"IMPOSSIBLE, min dispense mass larger than max allowable. Open up tolerances",IF(ABS((F4-F5)/2)&lt;0.06,"CAUTION, Requires High Dispense Accuracy","OK"))</f>
        <v>OK</v>
      </c>
      <c r="E6" s="41"/>
      <c r="F6" s="42"/>
      <c r="G6" s="1"/>
      <c r="H6" s="1"/>
      <c r="I6" s="1"/>
      <c r="J6" s="2"/>
      <c r="K6" s="2"/>
      <c r="L6" s="2"/>
      <c r="M6" s="2"/>
      <c r="N6" s="2"/>
    </row>
    <row r="7" spans="1:14">
      <c r="A7" s="4"/>
      <c r="B7" s="1"/>
      <c r="D7" s="96"/>
      <c r="E7" s="97"/>
      <c r="F7" s="97"/>
      <c r="G7" s="1"/>
      <c r="H7" s="1"/>
      <c r="I7" s="1"/>
      <c r="J7" s="2"/>
      <c r="K7" s="2"/>
      <c r="L7" s="2"/>
      <c r="M7" s="2"/>
      <c r="N7" s="2"/>
    </row>
    <row r="8" spans="1:14">
      <c r="A8" s="4"/>
      <c r="B8" s="1"/>
      <c r="C8" s="1"/>
      <c r="D8" s="1"/>
      <c r="E8" s="1"/>
      <c r="F8" s="1"/>
      <c r="G8" s="1"/>
      <c r="H8" s="1"/>
      <c r="I8" s="1"/>
      <c r="J8" s="2"/>
      <c r="K8" s="2"/>
      <c r="L8" s="2"/>
      <c r="M8" s="2"/>
      <c r="N8" s="2"/>
    </row>
    <row r="9" spans="1:14" ht="23">
      <c r="A9" s="4"/>
      <c r="B9" s="18" t="s">
        <v>3</v>
      </c>
      <c r="C9" s="18" t="s">
        <v>1</v>
      </c>
      <c r="D9" s="17" t="s">
        <v>6</v>
      </c>
      <c r="E9" s="17" t="s">
        <v>7</v>
      </c>
      <c r="G9" s="22" t="s">
        <v>8</v>
      </c>
      <c r="H9" s="1"/>
      <c r="I9" s="1"/>
      <c r="J9" s="1"/>
      <c r="K9" s="2"/>
      <c r="L9" s="2"/>
      <c r="M9" s="2"/>
      <c r="N9" s="2"/>
    </row>
    <row r="10" spans="1:14" ht="18">
      <c r="A10" s="23" t="s">
        <v>39</v>
      </c>
      <c r="B10" s="1"/>
      <c r="C10" s="1"/>
      <c r="D10" s="17"/>
      <c r="E10" s="17"/>
      <c r="G10" s="6" t="s">
        <v>40</v>
      </c>
      <c r="H10" s="1"/>
      <c r="I10" s="1"/>
      <c r="J10" s="1"/>
      <c r="K10" s="2"/>
      <c r="L10" s="2"/>
      <c r="M10" s="2"/>
      <c r="N10" s="2"/>
    </row>
    <row r="11" spans="1:14">
      <c r="A11" s="18" t="s">
        <v>41</v>
      </c>
      <c r="B11" s="24">
        <v>0.438</v>
      </c>
      <c r="C11" s="24">
        <v>5.0000000000000001E-3</v>
      </c>
      <c r="D11" s="17">
        <f>B$11-$C$11</f>
        <v>0.433</v>
      </c>
      <c r="E11" s="17">
        <f>B$11+$C$11</f>
        <v>0.443</v>
      </c>
      <c r="G11" s="21" t="s">
        <v>32</v>
      </c>
      <c r="H11" s="21"/>
      <c r="I11" s="21"/>
      <c r="J11" s="21"/>
      <c r="K11" s="16"/>
      <c r="L11" s="16"/>
      <c r="M11" s="2"/>
      <c r="N11" s="2"/>
    </row>
    <row r="12" spans="1:14">
      <c r="A12" s="18" t="s">
        <v>42</v>
      </c>
      <c r="B12" s="24">
        <v>0.438</v>
      </c>
      <c r="C12" s="24">
        <v>5.0000000000000001E-3</v>
      </c>
      <c r="D12" s="17">
        <f>B$12-$C$12</f>
        <v>0.433</v>
      </c>
      <c r="E12" s="17">
        <f>B$12+$C$12</f>
        <v>0.443</v>
      </c>
      <c r="G12" s="21" t="s">
        <v>33</v>
      </c>
      <c r="H12" s="21"/>
      <c r="I12" s="21"/>
      <c r="J12" s="21"/>
      <c r="K12" s="16"/>
      <c r="L12" s="16"/>
      <c r="M12" s="2"/>
      <c r="N12" s="2"/>
    </row>
    <row r="13" spans="1:14">
      <c r="A13" s="18" t="s">
        <v>43</v>
      </c>
      <c r="B13" s="24">
        <v>2.5000000000000001E-2</v>
      </c>
      <c r="C13" s="24">
        <v>1E-3</v>
      </c>
      <c r="D13" s="17">
        <f>B$13-$C$13</f>
        <v>2.4E-2</v>
      </c>
      <c r="E13" s="17">
        <f>B$13+$C$13</f>
        <v>2.6000000000000002E-2</v>
      </c>
      <c r="G13" s="21" t="s">
        <v>34</v>
      </c>
      <c r="H13" s="21"/>
      <c r="I13" s="21"/>
      <c r="J13" s="21"/>
      <c r="K13" s="16"/>
      <c r="L13" s="16"/>
      <c r="M13" s="2"/>
      <c r="N13" s="2"/>
    </row>
    <row r="14" spans="1:14">
      <c r="A14" s="18" t="s">
        <v>10</v>
      </c>
      <c r="B14" s="93">
        <f>C14</f>
        <v>35.04</v>
      </c>
      <c r="C14" s="17">
        <f>(+B11+B12)*2/D14*2</f>
        <v>35.04</v>
      </c>
      <c r="D14" s="24">
        <v>0.1</v>
      </c>
      <c r="E14" s="17" t="s">
        <v>11</v>
      </c>
      <c r="G14" s="21" t="s">
        <v>67</v>
      </c>
      <c r="H14" s="21"/>
      <c r="I14" s="21"/>
      <c r="J14" s="21"/>
      <c r="K14" s="16"/>
      <c r="L14" s="16"/>
      <c r="M14" s="2"/>
      <c r="N14" s="2"/>
    </row>
    <row r="15" spans="1:14">
      <c r="A15" s="18" t="s">
        <v>44</v>
      </c>
      <c r="B15" s="24">
        <v>5.0000000000000001E-3</v>
      </c>
      <c r="C15" s="1"/>
      <c r="D15" s="4"/>
      <c r="E15" s="4"/>
      <c r="G15" s="21" t="s">
        <v>35</v>
      </c>
      <c r="H15" s="21"/>
      <c r="I15" s="21"/>
      <c r="J15" s="21"/>
      <c r="K15" s="16"/>
      <c r="L15" s="16"/>
      <c r="M15" s="2"/>
      <c r="N15" s="2"/>
    </row>
    <row r="16" spans="1:14">
      <c r="A16" s="18" t="s">
        <v>45</v>
      </c>
      <c r="B16" s="24">
        <v>5.0000000000000001E-3</v>
      </c>
      <c r="C16" s="24">
        <v>5.0000000000000001E-4</v>
      </c>
      <c r="D16" s="17">
        <f>B$16-$C$16</f>
        <v>4.5000000000000005E-3</v>
      </c>
      <c r="E16" s="17">
        <f>B$16+$C$16</f>
        <v>5.4999999999999997E-3</v>
      </c>
      <c r="G16" s="21" t="s">
        <v>36</v>
      </c>
      <c r="H16" s="21"/>
      <c r="I16" s="21"/>
      <c r="J16" s="21"/>
      <c r="K16" s="16"/>
      <c r="L16" s="16"/>
      <c r="M16" s="2"/>
      <c r="N16" s="2"/>
    </row>
    <row r="17" spans="1:14">
      <c r="A17" s="18" t="s">
        <v>46</v>
      </c>
      <c r="B17" s="24">
        <v>1.4999999999999999E-2</v>
      </c>
      <c r="C17" s="24">
        <v>5.0000000000000001E-3</v>
      </c>
      <c r="D17" s="17">
        <f>B$17-$C$17</f>
        <v>9.9999999999999985E-3</v>
      </c>
      <c r="E17" s="17">
        <f>B$17+$C$17</f>
        <v>0.02</v>
      </c>
      <c r="G17" s="21" t="s">
        <v>37</v>
      </c>
      <c r="H17" s="21"/>
      <c r="I17" s="21"/>
      <c r="J17" s="21"/>
      <c r="K17" s="16"/>
      <c r="L17" s="16"/>
      <c r="M17" s="2"/>
      <c r="N17" s="2"/>
    </row>
    <row r="18" spans="1:14">
      <c r="A18" s="18" t="s">
        <v>47</v>
      </c>
      <c r="B18" s="18">
        <f>(+B13+B16)*(1+C18)/2</f>
        <v>3.0000000000000002E-2</v>
      </c>
      <c r="C18" s="25">
        <v>1</v>
      </c>
      <c r="D18" s="17">
        <f>D13*C18+D16</f>
        <v>2.8500000000000001E-2</v>
      </c>
      <c r="E18" s="17">
        <f>E13+E16</f>
        <v>3.15E-2</v>
      </c>
      <c r="G18" s="21" t="s">
        <v>38</v>
      </c>
      <c r="H18" s="21"/>
      <c r="I18" s="21"/>
      <c r="J18" s="21"/>
      <c r="K18" s="16"/>
      <c r="L18" s="16"/>
      <c r="M18" s="2"/>
      <c r="N18" s="2"/>
    </row>
    <row r="19" spans="1:14">
      <c r="A19" s="18" t="s">
        <v>15</v>
      </c>
      <c r="B19" s="24">
        <v>1.8</v>
      </c>
      <c r="C19" s="1"/>
      <c r="D19" s="17"/>
      <c r="E19" s="17"/>
      <c r="G19" s="21" t="s">
        <v>16</v>
      </c>
      <c r="H19" s="21"/>
      <c r="I19" s="21"/>
      <c r="J19" s="21"/>
      <c r="K19" s="16"/>
      <c r="L19" s="16"/>
      <c r="M19" s="2"/>
      <c r="N19" s="2"/>
    </row>
    <row r="20" spans="1:14">
      <c r="A20" s="18" t="s">
        <v>17</v>
      </c>
      <c r="B20" s="24">
        <v>5</v>
      </c>
      <c r="C20" s="19">
        <f>(TAN(3.1416/180*(B20+0.001)))^(-0.5)</f>
        <v>3.3804923079350044</v>
      </c>
      <c r="D20" s="19">
        <f>(2*LN(C20)-1+(1/C20)^2)/(0.5*(C20-1/C20)^2)</f>
        <v>0.3202336481173822</v>
      </c>
      <c r="E20" s="17"/>
      <c r="G20" s="21" t="s">
        <v>66</v>
      </c>
      <c r="H20" s="21"/>
      <c r="I20" s="21"/>
      <c r="J20" s="21"/>
      <c r="K20" s="16"/>
      <c r="L20" s="16"/>
      <c r="M20" s="2"/>
      <c r="N20" s="2"/>
    </row>
    <row r="21" spans="1:14">
      <c r="A21" s="18" t="s">
        <v>18</v>
      </c>
      <c r="B21" s="17"/>
      <c r="C21" s="17">
        <f>1/2.54^3</f>
        <v>6.1023744094732289E-2</v>
      </c>
      <c r="D21" s="17"/>
      <c r="E21" s="17"/>
      <c r="F21" s="4"/>
      <c r="G21" s="1"/>
      <c r="H21" s="1"/>
      <c r="I21" s="1"/>
      <c r="J21" s="2"/>
      <c r="K21" s="2"/>
      <c r="L21" s="2"/>
      <c r="M21" s="2"/>
      <c r="N21" s="2"/>
    </row>
    <row r="22" spans="1:14" ht="46.5">
      <c r="A22" s="26"/>
      <c r="B22" s="51" t="s">
        <v>50</v>
      </c>
      <c r="C22" s="51" t="s">
        <v>51</v>
      </c>
      <c r="D22" s="51" t="s">
        <v>52</v>
      </c>
      <c r="E22" s="51" t="s">
        <v>53</v>
      </c>
      <c r="F22" s="52" t="s">
        <v>54</v>
      </c>
      <c r="G22" s="1"/>
      <c r="H22" s="46"/>
      <c r="I22" s="46"/>
      <c r="J22" s="2"/>
      <c r="K22" s="2"/>
      <c r="L22" s="2"/>
      <c r="M22" s="2"/>
      <c r="N22" s="2"/>
    </row>
    <row r="23" spans="1:14">
      <c r="A23" s="27" t="s">
        <v>3</v>
      </c>
      <c r="B23" s="28">
        <f>(+B11*B12-(B14*PI()*B15^2/4))*B16</f>
        <v>9.5577995604431904E-4</v>
      </c>
      <c r="C23" s="28">
        <f>B23/$C$21</f>
        <v>1.5662427309615441E-2</v>
      </c>
      <c r="D23" s="28">
        <f>(2*(B11+B12)*B17*B18/2+PI()*B18*B17^2/3)*D$20</f>
        <v>1.2849970235967716E-4</v>
      </c>
      <c r="E23" s="28">
        <f>D23/$C$21</f>
        <v>2.1057328465489806E-3</v>
      </c>
      <c r="F23" s="29">
        <f>E23+C23</f>
        <v>1.776816015616442E-2</v>
      </c>
      <c r="G23" s="1"/>
      <c r="H23" s="47"/>
      <c r="I23" s="49"/>
      <c r="J23" s="48"/>
      <c r="K23" s="2"/>
      <c r="L23" s="2"/>
      <c r="M23" s="2"/>
      <c r="N23" s="2"/>
    </row>
    <row r="24" spans="1:14">
      <c r="A24" s="27" t="s">
        <v>7</v>
      </c>
      <c r="B24" s="28">
        <f>(+E11*E12-(B14*PI()*B15^2/4))*E16</f>
        <v>1.0755854516487509E-3</v>
      </c>
      <c r="C24" s="28">
        <f>B24/$C$21</f>
        <v>1.7625687633636984E-2</v>
      </c>
      <c r="D24" s="28">
        <f>(2*(D11+D12)*E17*D18/2+PI()*D18*E17^2/3)*D$20</f>
        <v>1.6189669935386193E-4</v>
      </c>
      <c r="E24" s="28">
        <f>D24/$C$21</f>
        <v>2.6530115737004936E-3</v>
      </c>
      <c r="F24" s="29">
        <f>E24+C24</f>
        <v>2.0278699207337478E-2</v>
      </c>
      <c r="G24" s="1"/>
      <c r="H24" s="47"/>
      <c r="I24" s="49"/>
      <c r="J24" s="48"/>
      <c r="K24" s="2"/>
      <c r="L24" s="2"/>
      <c r="M24" s="2"/>
      <c r="N24" s="2"/>
    </row>
    <row r="25" spans="1:14">
      <c r="A25" s="30" t="s">
        <v>6</v>
      </c>
      <c r="B25" s="31">
        <f>(+D11*D12-(B14*PI()*B15^2/4))*D16</f>
        <v>8.4060446043988728E-4</v>
      </c>
      <c r="C25" s="31">
        <f>B25/$C$21</f>
        <v>1.3775039091913899E-2</v>
      </c>
      <c r="D25" s="31">
        <f>(2*(E11+E12)*D17*E18/2+PI()*E18*D17^2/3)*D$20</f>
        <v>9.0430354713255906E-5</v>
      </c>
      <c r="E25" s="31">
        <f>D25/$C$21</f>
        <v>1.481888010228826E-3</v>
      </c>
      <c r="F25" s="32">
        <f>E25+C25</f>
        <v>1.5256927102142725E-2</v>
      </c>
      <c r="G25" s="1"/>
      <c r="H25" s="50"/>
      <c r="I25" s="50"/>
      <c r="J25" s="48"/>
      <c r="K25" s="2"/>
      <c r="L25" s="2"/>
      <c r="M25" s="2"/>
      <c r="N25" s="2"/>
    </row>
    <row r="26" spans="1:14">
      <c r="A26" s="4"/>
      <c r="B26" s="4"/>
      <c r="C26" s="4"/>
      <c r="D26" s="4"/>
      <c r="E26" s="4"/>
      <c r="F26" s="4"/>
      <c r="G26" s="1"/>
      <c r="H26" s="1"/>
      <c r="I26" s="1"/>
      <c r="J26" s="2"/>
      <c r="K26" s="2"/>
      <c r="L26" s="2"/>
      <c r="M26" s="2"/>
      <c r="N26" s="2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>
      <c r="A28" s="91" t="s">
        <v>27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</sheetData>
  <sheetProtection selectLockedCells="1"/>
  <phoneticPr fontId="7" type="noConversion"/>
  <pageMargins left="0.5" right="0.5" top="0.75" bottom="0.75" header="0.5" footer="0.5"/>
  <pageSetup orientation="landscape" r:id="rId1"/>
  <headerFooter alignWithMargins="0">
    <oddHeader>&amp;CEnglish Units</oddHeader>
    <oddFooter>&amp;CPage &amp;P</oddFooter>
  </headerFooter>
  <colBreaks count="1" manualBreakCount="1">
    <brk id="6" max="28" man="1"/>
  </colBreaks>
  <ignoredErrors>
    <ignoredError sqref="D23:D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4"/>
  <sheetViews>
    <sheetView showGridLines="0" tabSelected="1" showOutlineSymbols="0" zoomScale="70" zoomScaleNormal="70" workbookViewId="0"/>
  </sheetViews>
  <sheetFormatPr defaultColWidth="13.765625" defaultRowHeight="15.5"/>
  <cols>
    <col min="1" max="1" width="34.69140625" style="10" customWidth="1"/>
    <col min="2" max="4" width="11.4609375" style="10" customWidth="1"/>
    <col min="5" max="6" width="11.69140625" style="10" customWidth="1"/>
    <col min="7" max="16384" width="13.765625" style="10"/>
  </cols>
  <sheetData>
    <row r="1" spans="1:14" ht="46.5">
      <c r="A1" s="101" t="s">
        <v>31</v>
      </c>
      <c r="B1" s="53"/>
      <c r="C1" s="53"/>
      <c r="D1" s="43" t="s">
        <v>0</v>
      </c>
      <c r="E1" s="82" t="s">
        <v>58</v>
      </c>
      <c r="F1" s="83" t="s">
        <v>49</v>
      </c>
      <c r="I1" s="8"/>
      <c r="J1" s="9"/>
      <c r="K1" s="9"/>
      <c r="L1" s="9"/>
      <c r="M1" s="9"/>
      <c r="N1" s="9"/>
    </row>
    <row r="2" spans="1:14">
      <c r="A2" s="53"/>
      <c r="B2" s="53"/>
      <c r="C2" s="53"/>
      <c r="D2" s="37" t="s">
        <v>2</v>
      </c>
      <c r="E2" s="81">
        <f>AVERAGE(E4:E5)</f>
        <v>0.93819908011464803</v>
      </c>
      <c r="F2" s="84">
        <f>(ABS(F4)+ABS(F5))/2</f>
        <v>0.22063503617199459</v>
      </c>
      <c r="I2" s="13"/>
      <c r="J2" s="9"/>
      <c r="K2" s="9"/>
      <c r="L2" s="9"/>
      <c r="M2" s="9"/>
      <c r="N2" s="9"/>
    </row>
    <row r="3" spans="1:14">
      <c r="A3" s="53"/>
      <c r="B3" s="53"/>
      <c r="C3" s="53"/>
      <c r="D3" s="85" t="s">
        <v>3</v>
      </c>
      <c r="E3" s="34">
        <f>F23*$B$19*1000</f>
        <v>0.93805183227827826</v>
      </c>
      <c r="F3" s="38"/>
      <c r="I3" s="8"/>
      <c r="J3" s="9"/>
      <c r="K3" s="9"/>
      <c r="L3" s="9"/>
      <c r="M3" s="9"/>
      <c r="N3" s="9"/>
    </row>
    <row r="4" spans="1:14">
      <c r="A4" s="54"/>
      <c r="B4" s="53"/>
      <c r="C4" s="53"/>
      <c r="D4" s="85" t="s">
        <v>4</v>
      </c>
      <c r="E4" s="34">
        <f>F24*$B$19*1000</f>
        <v>1.1451661800605717</v>
      </c>
      <c r="F4" s="39">
        <f>(+E4-E3)/E3</f>
        <v>0.22079200813378061</v>
      </c>
      <c r="I4" s="8"/>
      <c r="J4" s="9"/>
      <c r="K4" s="9"/>
      <c r="L4" s="9"/>
      <c r="M4" s="9"/>
      <c r="N4" s="9"/>
    </row>
    <row r="5" spans="1:14">
      <c r="A5" s="53"/>
      <c r="B5" s="53"/>
      <c r="C5" s="53"/>
      <c r="D5" s="85" t="s">
        <v>5</v>
      </c>
      <c r="E5" s="34">
        <f>F25*$B$19*1000</f>
        <v>0.73123198016872426</v>
      </c>
      <c r="F5" s="39">
        <f>(+E5-E3)/E3</f>
        <v>-0.22047806421020855</v>
      </c>
      <c r="I5" s="8"/>
      <c r="J5" s="9"/>
      <c r="K5" s="9"/>
      <c r="L5" s="9"/>
      <c r="M5" s="9"/>
      <c r="N5" s="9"/>
    </row>
    <row r="6" spans="1:14">
      <c r="A6" s="53"/>
      <c r="B6" s="55"/>
      <c r="D6" s="90" t="str">
        <f>IF(+E4-E5&lt;=0,"IMPOSSIBLE, min dispense mass larger than max allowable. Open up tolerances",IF(ABS((F4-F5)/2)&lt;0.06,"CAUTION, Requires High Dispense Accuracy","OK"))</f>
        <v>OK</v>
      </c>
      <c r="E6" s="86"/>
      <c r="F6" s="87"/>
      <c r="I6" s="8"/>
      <c r="J6" s="9"/>
      <c r="K6" s="9"/>
      <c r="L6" s="9"/>
      <c r="M6" s="9"/>
      <c r="N6" s="9"/>
    </row>
    <row r="7" spans="1:14">
      <c r="A7" s="53"/>
      <c r="B7" s="55"/>
      <c r="D7" s="98"/>
      <c r="E7" s="99"/>
      <c r="F7" s="99"/>
      <c r="I7" s="8"/>
      <c r="J7" s="9"/>
      <c r="K7" s="9"/>
      <c r="L7" s="9"/>
      <c r="M7" s="9"/>
      <c r="N7" s="9"/>
    </row>
    <row r="8" spans="1:14">
      <c r="A8" s="53"/>
      <c r="B8" s="53"/>
      <c r="C8" s="53"/>
      <c r="D8" s="53"/>
      <c r="E8" s="53"/>
      <c r="F8" s="8"/>
      <c r="G8" s="8"/>
      <c r="H8" s="8"/>
      <c r="I8" s="8"/>
      <c r="J8" s="9"/>
      <c r="K8" s="9"/>
      <c r="L8" s="9"/>
      <c r="M8" s="9"/>
      <c r="N8" s="9"/>
    </row>
    <row r="9" spans="1:14" ht="23">
      <c r="A9" s="53"/>
      <c r="B9" s="55" t="s">
        <v>3</v>
      </c>
      <c r="C9" s="55" t="s">
        <v>1</v>
      </c>
      <c r="D9" s="53" t="s">
        <v>6</v>
      </c>
      <c r="E9" s="53" t="s">
        <v>7</v>
      </c>
      <c r="G9" s="22" t="s">
        <v>8</v>
      </c>
      <c r="H9" s="88"/>
      <c r="I9" s="88"/>
      <c r="J9" s="88"/>
      <c r="K9" s="9"/>
      <c r="L9" s="9"/>
      <c r="M9" s="9"/>
      <c r="N9" s="9"/>
    </row>
    <row r="10" spans="1:14" ht="18">
      <c r="A10" s="23" t="s">
        <v>39</v>
      </c>
      <c r="B10" s="53"/>
      <c r="C10" s="53"/>
      <c r="D10" s="53"/>
      <c r="E10" s="53"/>
      <c r="G10" s="89" t="s">
        <v>40</v>
      </c>
      <c r="H10" s="88"/>
      <c r="I10" s="88"/>
      <c r="J10" s="88"/>
      <c r="K10" s="9"/>
      <c r="L10" s="9"/>
      <c r="M10" s="9"/>
      <c r="N10" s="9"/>
    </row>
    <row r="11" spans="1:14">
      <c r="A11" s="53" t="s">
        <v>59</v>
      </c>
      <c r="B11" s="67">
        <v>4</v>
      </c>
      <c r="C11" s="67">
        <v>0.1</v>
      </c>
      <c r="D11" s="56">
        <f>B$11-$C$11</f>
        <v>3.9</v>
      </c>
      <c r="E11" s="53">
        <f>B$11+$C$11</f>
        <v>4.0999999999999996</v>
      </c>
      <c r="G11" s="88" t="s">
        <v>19</v>
      </c>
      <c r="H11" s="88"/>
      <c r="I11" s="88"/>
      <c r="J11" s="88"/>
      <c r="K11" s="88"/>
      <c r="L11" s="88"/>
      <c r="M11" s="9"/>
      <c r="N11" s="9"/>
    </row>
    <row r="12" spans="1:14">
      <c r="A12" s="53" t="s">
        <v>60</v>
      </c>
      <c r="B12" s="67">
        <v>4</v>
      </c>
      <c r="C12" s="67">
        <v>0.1</v>
      </c>
      <c r="D12" s="56">
        <f>B$12-$C$12</f>
        <v>3.9</v>
      </c>
      <c r="E12" s="53">
        <f>B$12+$C$12</f>
        <v>4.0999999999999996</v>
      </c>
      <c r="G12" s="88" t="s">
        <v>20</v>
      </c>
      <c r="H12" s="88"/>
      <c r="I12" s="88"/>
      <c r="J12" s="88"/>
      <c r="K12" s="88"/>
      <c r="L12" s="88"/>
      <c r="M12" s="9"/>
      <c r="N12" s="9"/>
    </row>
    <row r="13" spans="1:14">
      <c r="A13" s="53" t="s">
        <v>61</v>
      </c>
      <c r="B13" s="67">
        <v>0.08</v>
      </c>
      <c r="C13" s="67">
        <v>5.0000000000000001E-3</v>
      </c>
      <c r="D13" s="56">
        <f>B$13-$C$13</f>
        <v>7.4999999999999997E-2</v>
      </c>
      <c r="E13" s="53">
        <f>B$13+$C$13</f>
        <v>8.5000000000000006E-2</v>
      </c>
      <c r="G13" s="88" t="s">
        <v>21</v>
      </c>
      <c r="H13" s="88"/>
      <c r="I13" s="88"/>
      <c r="J13" s="88"/>
      <c r="K13" s="88"/>
      <c r="L13" s="88"/>
      <c r="M13" s="9"/>
      <c r="N13" s="9"/>
    </row>
    <row r="14" spans="1:14">
      <c r="A14" s="53" t="s">
        <v>10</v>
      </c>
      <c r="B14" s="92">
        <f>C14</f>
        <v>125.98425196850394</v>
      </c>
      <c r="C14" s="57">
        <f>(+B11+B12)*2/D14*2</f>
        <v>125.98425196850394</v>
      </c>
      <c r="D14" s="67">
        <f>0.01*25.4</f>
        <v>0.254</v>
      </c>
      <c r="E14" s="53" t="s">
        <v>11</v>
      </c>
      <c r="G14" s="88" t="s">
        <v>68</v>
      </c>
      <c r="H14" s="88"/>
      <c r="I14" s="88"/>
      <c r="J14" s="88"/>
      <c r="K14" s="88"/>
      <c r="L14" s="88"/>
      <c r="M14" s="9"/>
      <c r="N14" s="9"/>
    </row>
    <row r="15" spans="1:14">
      <c r="A15" s="53" t="s">
        <v>62</v>
      </c>
      <c r="B15" s="67">
        <v>2.5000000000000001E-2</v>
      </c>
      <c r="C15" s="58"/>
      <c r="D15" s="58"/>
      <c r="E15" s="53"/>
      <c r="G15" s="88" t="s">
        <v>22</v>
      </c>
      <c r="H15" s="88"/>
      <c r="I15" s="88"/>
      <c r="J15" s="88"/>
      <c r="K15" s="88"/>
      <c r="L15" s="88"/>
      <c r="M15" s="9"/>
      <c r="N15" s="9"/>
    </row>
    <row r="16" spans="1:14">
      <c r="A16" s="53" t="s">
        <v>63</v>
      </c>
      <c r="B16" s="67">
        <v>3.2000000000000001E-2</v>
      </c>
      <c r="C16" s="67">
        <v>5.0000000000000001E-3</v>
      </c>
      <c r="D16" s="58">
        <f>B$16-$C$16</f>
        <v>2.7E-2</v>
      </c>
      <c r="E16" s="53">
        <f>B$16+$C$16</f>
        <v>3.6999999999999998E-2</v>
      </c>
      <c r="G16" s="88" t="s">
        <v>23</v>
      </c>
      <c r="H16" s="88"/>
      <c r="I16" s="88"/>
      <c r="J16" s="88"/>
      <c r="K16" s="88"/>
      <c r="L16" s="88"/>
      <c r="M16" s="9"/>
      <c r="N16" s="9"/>
    </row>
    <row r="17" spans="1:14">
      <c r="A17" s="53" t="s">
        <v>64</v>
      </c>
      <c r="B17" s="67">
        <v>0.2</v>
      </c>
      <c r="C17" s="67">
        <v>0.1</v>
      </c>
      <c r="D17" s="58">
        <f>B$17-$C$17</f>
        <v>0.1</v>
      </c>
      <c r="E17" s="53">
        <f>B$17+$C$17</f>
        <v>0.30000000000000004</v>
      </c>
      <c r="G17" s="88" t="s">
        <v>24</v>
      </c>
      <c r="H17" s="88"/>
      <c r="I17" s="88"/>
      <c r="J17" s="88"/>
      <c r="K17" s="88"/>
      <c r="L17" s="88"/>
      <c r="M17" s="9"/>
      <c r="N17" s="9"/>
    </row>
    <row r="18" spans="1:14">
      <c r="A18" s="53" t="s">
        <v>65</v>
      </c>
      <c r="B18" s="58">
        <f>(+B13+B16)*(1+C18)/2</f>
        <v>9.8000000000000004E-2</v>
      </c>
      <c r="C18" s="25">
        <v>0.75</v>
      </c>
      <c r="D18" s="58">
        <f>D13*C18+D16</f>
        <v>8.3249999999999991E-2</v>
      </c>
      <c r="E18" s="53">
        <f>E13+E16</f>
        <v>0.122</v>
      </c>
      <c r="G18" s="88" t="s">
        <v>26</v>
      </c>
      <c r="H18" s="88"/>
      <c r="I18" s="88"/>
      <c r="J18" s="88"/>
      <c r="K18" s="88"/>
      <c r="L18" s="88"/>
      <c r="M18" s="9"/>
      <c r="N18" s="9"/>
    </row>
    <row r="19" spans="1:14">
      <c r="A19" s="53" t="s">
        <v>15</v>
      </c>
      <c r="B19" s="68">
        <v>1.6</v>
      </c>
      <c r="C19" s="59"/>
      <c r="D19" s="18"/>
      <c r="E19" s="53"/>
      <c r="G19" s="88" t="s">
        <v>16</v>
      </c>
      <c r="H19" s="88"/>
      <c r="I19" s="88"/>
      <c r="J19" s="88"/>
      <c r="K19" s="88"/>
      <c r="L19" s="88"/>
      <c r="M19" s="9"/>
      <c r="N19" s="9"/>
    </row>
    <row r="20" spans="1:14">
      <c r="A20" s="53" t="s">
        <v>17</v>
      </c>
      <c r="B20" s="69">
        <v>10</v>
      </c>
      <c r="C20" s="60">
        <f>(TAN(3.1416/180*(B20+0.001)))^(-0.5)</f>
        <v>2.3813209636592445</v>
      </c>
      <c r="D20" s="61">
        <f>(2*LN(C20)-1+(1/C20)^2)/(0.5*(C20-1/C20)^2)</f>
        <v>0.47395260775575809</v>
      </c>
      <c r="E20" s="53"/>
      <c r="G20" s="88" t="s">
        <v>66</v>
      </c>
      <c r="H20" s="88"/>
      <c r="I20" s="88"/>
      <c r="J20" s="88"/>
      <c r="K20" s="88"/>
      <c r="L20" s="88"/>
      <c r="M20" s="9"/>
      <c r="N20" s="9"/>
    </row>
    <row r="21" spans="1:14">
      <c r="A21" s="53" t="s">
        <v>25</v>
      </c>
      <c r="B21" s="53"/>
      <c r="C21" s="53">
        <v>1000</v>
      </c>
      <c r="D21" s="53"/>
      <c r="E21" s="53"/>
      <c r="F21" s="11"/>
      <c r="G21" s="8"/>
      <c r="H21" s="14"/>
      <c r="I21" s="14"/>
      <c r="J21" s="9"/>
      <c r="K21" s="9"/>
      <c r="L21" s="9"/>
      <c r="M21" s="9"/>
      <c r="N21" s="9"/>
    </row>
    <row r="22" spans="1:14" ht="46.5">
      <c r="A22" s="70"/>
      <c r="B22" s="71" t="s">
        <v>55</v>
      </c>
      <c r="C22" s="71" t="s">
        <v>56</v>
      </c>
      <c r="D22" s="71" t="s">
        <v>57</v>
      </c>
      <c r="E22" s="71" t="s">
        <v>53</v>
      </c>
      <c r="F22" s="72" t="s">
        <v>54</v>
      </c>
      <c r="G22" s="14"/>
      <c r="H22" s="62"/>
      <c r="I22" s="62"/>
      <c r="J22" s="63"/>
      <c r="K22" s="9"/>
      <c r="L22" s="9"/>
      <c r="M22" s="9"/>
      <c r="N22" s="9"/>
    </row>
    <row r="23" spans="1:14">
      <c r="A23" s="73" t="s">
        <v>3</v>
      </c>
      <c r="B23" s="74">
        <f>(+B11*B12-(B14*PI()*B15^2/4))*B16</f>
        <v>0.51002104399773873</v>
      </c>
      <c r="C23" s="75">
        <f>B23/$C$21</f>
        <v>5.1002104399773876E-4</v>
      </c>
      <c r="D23" s="74">
        <f>(2*(B11+B12)*B17*B18/2+PI()*B18*B17^2/3)*D$20</f>
        <v>7.6261351176185155E-2</v>
      </c>
      <c r="E23" s="75">
        <f>D23/$C$21</f>
        <v>7.6261351176185158E-5</v>
      </c>
      <c r="F23" s="76">
        <f>E23+C23</f>
        <v>5.8628239517392389E-4</v>
      </c>
      <c r="G23" s="8"/>
      <c r="H23" s="64"/>
      <c r="I23" s="65"/>
      <c r="J23" s="63"/>
      <c r="K23" s="9"/>
      <c r="L23" s="9"/>
      <c r="M23" s="9"/>
      <c r="N23" s="9"/>
    </row>
    <row r="24" spans="1:14">
      <c r="A24" s="73" t="s">
        <v>7</v>
      </c>
      <c r="B24" s="74">
        <f>(+E11*E12-(B14*PI()*B15^2/4))*E16</f>
        <v>0.61968183212238537</v>
      </c>
      <c r="C24" s="75">
        <f>B24/$C$21</f>
        <v>6.1968183212238539E-4</v>
      </c>
      <c r="D24" s="74">
        <f>(2*(D11+D12)*E17*D18/2+PI()*D18*E17^2/3)*D$20</f>
        <v>9.6047030415471815E-2</v>
      </c>
      <c r="E24" s="75">
        <f>D24/$C$21</f>
        <v>9.6047030415471815E-5</v>
      </c>
      <c r="F24" s="76">
        <f>E24+C24</f>
        <v>7.1572886253785722E-4</v>
      </c>
      <c r="G24" s="8"/>
      <c r="H24" s="64"/>
      <c r="I24" s="65"/>
      <c r="J24" s="63"/>
      <c r="K24" s="9"/>
      <c r="L24" s="9"/>
      <c r="M24" s="9"/>
      <c r="N24" s="9"/>
    </row>
    <row r="25" spans="1:14">
      <c r="A25" s="77" t="s">
        <v>6</v>
      </c>
      <c r="B25" s="78">
        <f>(+D11*D12-(B14*PI()*B15^2/4))*D16</f>
        <v>0.40900025587309202</v>
      </c>
      <c r="C25" s="79">
        <f>B25/$C$21</f>
        <v>4.09000255873092E-4</v>
      </c>
      <c r="D25" s="78">
        <f>(2*(E11+E12)*D17*E18/2+PI()*E18*D17^2/3)*D$20</f>
        <v>4.8019731732360627E-2</v>
      </c>
      <c r="E25" s="79">
        <f>D25/$C$21</f>
        <v>4.8019731732360626E-5</v>
      </c>
      <c r="F25" s="80">
        <f>E25+C25</f>
        <v>4.5701998760545263E-4</v>
      </c>
      <c r="G25" s="8"/>
      <c r="H25" s="66"/>
      <c r="I25" s="66"/>
      <c r="J25" s="63"/>
      <c r="K25" s="9"/>
      <c r="L25" s="9"/>
      <c r="M25" s="9"/>
      <c r="N25" s="9"/>
    </row>
    <row r="26" spans="1:14">
      <c r="A26" s="53"/>
      <c r="B26" s="53"/>
      <c r="C26" s="53"/>
      <c r="D26" s="53"/>
      <c r="E26" s="53"/>
      <c r="F26" s="11"/>
      <c r="G26" s="12"/>
      <c r="H26" s="12"/>
      <c r="I26" s="12"/>
      <c r="J26" s="9"/>
      <c r="K26" s="9"/>
      <c r="L26" s="9"/>
      <c r="M26" s="9"/>
      <c r="N26" s="9"/>
    </row>
    <row r="27" spans="1:14">
      <c r="A27" s="2"/>
      <c r="B27" s="2"/>
      <c r="C27" s="2"/>
      <c r="D27" s="15"/>
      <c r="E27" s="15"/>
      <c r="F27" s="15"/>
      <c r="G27" s="9"/>
      <c r="H27" s="9"/>
      <c r="I27" s="9"/>
      <c r="J27" s="9"/>
      <c r="K27" s="9"/>
      <c r="L27" s="9"/>
      <c r="M27" s="9"/>
      <c r="N27" s="9"/>
    </row>
    <row r="28" spans="1:14">
      <c r="A28" s="1" t="s">
        <v>27</v>
      </c>
      <c r="B28" s="2"/>
      <c r="C28" s="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</sheetData>
  <sheetProtection selectLockedCells="1"/>
  <phoneticPr fontId="7" type="noConversion"/>
  <pageMargins left="0.5" right="0.5" top="1" bottom="1" header="0.5" footer="0.5"/>
  <pageSetup scale="78" orientation="landscape" horizontalDpi="1200" verticalDpi="1200" r:id="rId1"/>
  <headerFooter alignWithMargins="0">
    <oddHeader>&amp;C&amp;A</oddHeader>
    <oddFooter>&amp;CPage &amp;P</oddFooter>
  </headerFooter>
  <colBreaks count="1" manualBreakCount="1">
    <brk id="6" max="29" man="1"/>
  </colBreaks>
  <ignoredErrors>
    <ignoredError sqref="D1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H13"/>
  <sheetViews>
    <sheetView zoomScale="80" zoomScaleNormal="80" workbookViewId="0">
      <selection activeCell="J9" sqref="J9:K9"/>
    </sheetView>
  </sheetViews>
  <sheetFormatPr defaultRowHeight="15.5"/>
  <cols>
    <col min="7" max="7" width="6.4609375" customWidth="1"/>
    <col min="8" max="8" width="13.765625" customWidth="1"/>
  </cols>
  <sheetData>
    <row r="2" spans="7:8">
      <c r="G2" s="100" t="s">
        <v>71</v>
      </c>
      <c r="H2" s="100" t="s">
        <v>72</v>
      </c>
    </row>
    <row r="3" spans="7:8">
      <c r="G3" s="95">
        <v>13</v>
      </c>
      <c r="H3" t="s">
        <v>9</v>
      </c>
    </row>
    <row r="4" spans="7:8">
      <c r="G4" s="95">
        <v>14</v>
      </c>
      <c r="H4" t="s">
        <v>69</v>
      </c>
    </row>
    <row r="5" spans="7:8">
      <c r="G5" s="95">
        <v>15</v>
      </c>
      <c r="H5" s="94" t="s">
        <v>70</v>
      </c>
    </row>
    <row r="6" spans="7:8">
      <c r="G6" s="95">
        <v>16</v>
      </c>
      <c r="H6" t="s">
        <v>12</v>
      </c>
    </row>
    <row r="7" spans="7:8">
      <c r="G7" s="95">
        <v>18</v>
      </c>
      <c r="H7" t="s">
        <v>14</v>
      </c>
    </row>
    <row r="8" spans="7:8">
      <c r="G8" s="95"/>
    </row>
    <row r="9" spans="7:8">
      <c r="G9" s="95"/>
    </row>
    <row r="10" spans="7:8">
      <c r="G10" s="95"/>
    </row>
    <row r="11" spans="7:8">
      <c r="G11" s="95">
        <v>11</v>
      </c>
      <c r="H11" t="s">
        <v>29</v>
      </c>
    </row>
    <row r="12" spans="7:8">
      <c r="G12" s="95">
        <v>12</v>
      </c>
      <c r="H12" t="s">
        <v>28</v>
      </c>
    </row>
    <row r="13" spans="7:8">
      <c r="G13" s="95">
        <v>17</v>
      </c>
      <c r="H13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English</vt:lpstr>
      <vt:lpstr>Metric</vt:lpstr>
      <vt:lpstr>Dimensions Sketch</vt:lpstr>
      <vt:lpstr>English!Print_Area</vt:lpstr>
      <vt:lpstr>Metric!Print_Area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Babiarz, Alec</dc:creator>
  <cp:lastModifiedBy>Foster-Smith, Roberta</cp:lastModifiedBy>
  <cp:lastPrinted>2020-05-01T20:40:01Z</cp:lastPrinted>
  <dcterms:created xsi:type="dcterms:W3CDTF">2007-07-18T07:09:29Z</dcterms:created>
  <dcterms:modified xsi:type="dcterms:W3CDTF">2020-05-01T21:54:30Z</dcterms:modified>
</cp:coreProperties>
</file>